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tabRatio="922" activeTab="0"/>
  </bookViews>
  <sheets>
    <sheet name=" งบทดลอง31ส.ค.56" sheetId="1" r:id="rId1"/>
    <sheet name="รับจ่ายเงินสด ส.ค.56" sheetId="2" r:id="rId2"/>
  </sheets>
  <externalReferences>
    <externalReference r:id="rId5"/>
  </externalReferences>
  <definedNames>
    <definedName name="_xlnm.Print_Area" localSheetId="0">' งบทดลอง31ส.ค.56'!$A$1:$D$82</definedName>
    <definedName name="_xlnm.Print_Area" localSheetId="1">'รับจ่ายเงินสด ส.ค.56'!$A$1:$N$139</definedName>
  </definedNames>
  <calcPr fullCalcOnLoad="1"/>
</workbook>
</file>

<file path=xl/sharedStrings.xml><?xml version="1.0" encoding="utf-8"?>
<sst xmlns="http://schemas.openxmlformats.org/spreadsheetml/2006/main" count="224" uniqueCount="147">
  <si>
    <t>องค์การบริหารส่วนจังหวัดสมุทรสาคร</t>
  </si>
  <si>
    <t>รายการ</t>
  </si>
  <si>
    <t>ประมาณการ</t>
  </si>
  <si>
    <t>-</t>
  </si>
  <si>
    <t>รวมรายจ่าย</t>
  </si>
  <si>
    <t>รวมรายรับ</t>
  </si>
  <si>
    <t>งบทดลอง</t>
  </si>
  <si>
    <t>ณ วันที่  31 สิงหาคม  2556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</si>
  <si>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</si>
  <si>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</si>
  <si>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</si>
  <si>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</si>
  <si>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</si>
  <si>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</si>
  <si>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</si>
  <si>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</si>
  <si>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</si>
  <si>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</si>
  <si>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</si>
  <si>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</si>
  <si>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</si>
  <si>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</si>
  <si>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</si>
  <si>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</si>
  <si>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</si>
  <si>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</si>
  <si>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</si>
  <si>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</si>
  <si>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</si>
  <si>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</si>
  <si>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</si>
  <si>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</si>
  <si>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</si>
  <si>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</si>
  <si>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</si>
  <si>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</si>
  <si>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</si>
  <si>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</si>
  <si>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</si>
  <si>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</si>
  <si>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</si>
  <si>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</si>
  <si>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</si>
  <si>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</si>
  <si>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</si>
  <si>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</si>
  <si>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</si>
  <si>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</si>
  <si>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</si>
  <si>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</si>
  <si>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</si>
  <si>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</si>
  <si>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</si>
  <si>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</si>
  <si>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</si>
  <si>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</si>
  <si>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</si>
  <si>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รายจ่ายผัดส่งใบสำคัญ </t>
  </si>
  <si>
    <t>601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</si>
  <si>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</si>
  <si>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</si>
  <si>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</si>
  <si>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</si>
  <si>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</si>
  <si>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</si>
  <si>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</si>
  <si>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</si>
  <si>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สิงหาคม  2556</t>
  </si>
  <si>
    <t>รายงาน รับ - จ่าย  เงินสด</t>
  </si>
  <si>
    <t>ปีงบประมาณ….2556….</t>
  </si>
  <si>
    <t xml:space="preserve"> </t>
  </si>
  <si>
    <t>จนถึงปัจจุบัน</t>
  </si>
  <si>
    <t>เดือนนี้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</si>
  <si>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</si>
  <si>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</si>
  <si>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</si>
  <si>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</si>
  <si>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</si>
  <si>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</si>
  <si>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</si>
  <si>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</si>
  <si>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</si>
  <si>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</si>
  <si>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</si>
  <si>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</si>
  <si>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</si>
  <si>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</si>
  <si>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</si>
  <si>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</si>
  <si>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</si>
  <si>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</si>
  <si>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</si>
  <si>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 xml:space="preserve"> เงินอุดหนุนเฉพาะกิจ</t>
  </si>
  <si>
    <t>3000</t>
  </si>
  <si>
    <t xml:space="preserve"> เงินอุดหนุนเฉพาะกิจฝากจังหวัด</t>
  </si>
  <si>
    <t>012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</si>
  <si>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</si>
  <si>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</si>
  <si>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</si>
  <si>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</si>
  <si>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</si>
  <si>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 xml:space="preserve"> ภาษีหน้าฎีกา</t>
  </si>
  <si>
    <t>999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</si>
  <si>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</si>
  <si>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</si>
  <si>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</si>
  <si>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</si>
  <si>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</si>
  <si>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</si>
  <si>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</si>
  <si>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</si>
  <si>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</si>
  <si>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</si>
  <si>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</si>
  <si>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</si>
  <si>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</si>
  <si>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</si>
  <si>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</si>
  <si>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</si>
  <si>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</si>
  <si>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</si>
  <si>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</si>
  <si>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</si>
  <si>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</si>
  <si>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</si>
  <si>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</si>
  <si>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</si>
  <si>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</si>
  <si>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</si>
  <si>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</si>
  <si>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</si>
  <si>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</si>
  <si>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</si>
  <si>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6250</t>
  </si>
  <si>
    <t>6270</t>
  </si>
  <si>
    <t>6300</t>
  </si>
  <si>
    <t>6500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</si>
  <si>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</si>
  <si>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</si>
  <si>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</si>
  <si>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 xml:space="preserve"> เงินอุดหนุนเฉพาะกิจค้างจ่าย </t>
  </si>
  <si>
    <t>602</t>
  </si>
  <si>
    <t xml:space="preserve"> เงินฝาก กสอ.</t>
  </si>
  <si>
    <t>- 3 -</t>
  </si>
  <si>
    <t xml:space="preserve"> เงินสมทบทุนส่งเสริมอาชีพ</t>
  </si>
  <si>
    <t xml:space="preserve">       รายรับ       สูงกว่า    รายจ่าย</t>
  </si>
  <si>
    <t>ยอดยกไป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</si>
</sst>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6"/>
      <name val="AngsanaUPC"/>
      <family val="0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0" borderId="10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left" vertical="center"/>
      <protection/>
    </xf>
    <xf numFmtId="49" fontId="7" fillId="0" borderId="11" xfId="45" applyNumberFormat="1" applyFont="1" applyBorder="1" applyAlignment="1">
      <alignment horizontal="center" vertical="center"/>
      <protection/>
    </xf>
    <xf numFmtId="43" fontId="7" fillId="0" borderId="11" xfId="38" applyFont="1" applyBorder="1" applyAlignment="1">
      <alignment horizontal="center" vertical="center"/>
    </xf>
    <xf numFmtId="0" fontId="7" fillId="0" borderId="12" xfId="45" applyFont="1" applyBorder="1" applyAlignment="1">
      <alignment horizontal="center" vertical="center"/>
      <protection/>
    </xf>
    <xf numFmtId="0" fontId="7" fillId="0" borderId="11" xfId="45" applyFont="1" applyBorder="1">
      <alignment/>
      <protection/>
    </xf>
    <xf numFmtId="49" fontId="7" fillId="0" borderId="11" xfId="45" applyNumberFormat="1" applyFont="1" applyBorder="1" applyAlignment="1">
      <alignment horizontal="center"/>
      <protection/>
    </xf>
    <xf numFmtId="43" fontId="7" fillId="0" borderId="11" xfId="38" applyFont="1" applyBorder="1" applyAlignment="1">
      <alignment horizontal="center"/>
    </xf>
    <xf numFmtId="43" fontId="7" fillId="0" borderId="11" xfId="38" applyFont="1" applyBorder="1" applyAlignment="1">
      <alignment/>
    </xf>
    <xf numFmtId="43" fontId="7" fillId="0" borderId="11" xfId="38" applyFont="1" applyBorder="1" applyAlignment="1">
      <alignment vertical="center"/>
    </xf>
    <xf numFmtId="43" fontId="7" fillId="0" borderId="0" xfId="38" applyFont="1" applyBorder="1" applyAlignment="1">
      <alignment horizontal="center"/>
    </xf>
    <xf numFmtId="0" fontId="7" fillId="0" borderId="0" xfId="45" applyFont="1" applyAlignment="1">
      <alignment horizontal="center"/>
      <protection/>
    </xf>
    <xf numFmtId="43" fontId="7" fillId="0" borderId="0" xfId="38" applyFont="1" applyAlignment="1">
      <alignment/>
    </xf>
    <xf numFmtId="0" fontId="7" fillId="0" borderId="10" xfId="45" applyFont="1" applyBorder="1">
      <alignment/>
      <protection/>
    </xf>
    <xf numFmtId="43" fontId="7" fillId="0" borderId="10" xfId="38" applyFont="1" applyBorder="1" applyAlignment="1">
      <alignment horizontal="left" vertical="center"/>
    </xf>
    <xf numFmtId="0" fontId="7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left" vertical="center"/>
      <protection/>
    </xf>
    <xf numFmtId="49" fontId="7" fillId="0" borderId="0" xfId="45" applyNumberFormat="1" applyFont="1" applyBorder="1" applyAlignment="1">
      <alignment horizontal="center" vertical="center"/>
      <protection/>
    </xf>
    <xf numFmtId="43" fontId="7" fillId="0" borderId="0" xfId="38" applyFont="1" applyBorder="1" applyAlignment="1">
      <alignment vertical="center"/>
    </xf>
    <xf numFmtId="0" fontId="7" fillId="0" borderId="0" xfId="45" applyFont="1" applyBorder="1" applyAlignment="1">
      <alignment horizontal="center" vertical="center"/>
      <protection/>
    </xf>
    <xf numFmtId="43" fontId="7" fillId="0" borderId="0" xfId="38" applyFont="1" applyBorder="1" applyAlignment="1">
      <alignment horizontal="center" vertical="center"/>
    </xf>
    <xf numFmtId="49" fontId="7" fillId="0" borderId="0" xfId="45" applyNumberFormat="1" applyFont="1" applyBorder="1" applyAlignment="1">
      <alignment horizontal="center"/>
      <protection/>
    </xf>
    <xf numFmtId="43" fontId="7" fillId="0" borderId="0" xfId="38" applyFont="1" applyBorder="1" applyAlignment="1">
      <alignment/>
    </xf>
    <xf numFmtId="43" fontId="7" fillId="0" borderId="0" xfId="38" applyFont="1" applyBorder="1" applyAlignment="1">
      <alignment/>
    </xf>
    <xf numFmtId="43" fontId="7" fillId="0" borderId="0" xfId="38" applyFont="1" applyBorder="1" applyAlignment="1">
      <alignment horizontal="left" vertical="center"/>
    </xf>
    <xf numFmtId="49" fontId="6" fillId="0" borderId="0" xfId="45" applyNumberFormat="1" applyFont="1">
      <alignment/>
      <protection/>
    </xf>
    <xf numFmtId="0" fontId="6" fillId="0" borderId="0" xfId="45" applyFont="1">
      <alignment/>
      <protection/>
    </xf>
    <xf numFmtId="0" fontId="7" fillId="0" borderId="13" xfId="45" applyFont="1" applyBorder="1">
      <alignment/>
      <protection/>
    </xf>
    <xf numFmtId="0" fontId="7" fillId="0" borderId="14" xfId="45" applyFont="1" applyBorder="1">
      <alignment/>
      <protection/>
    </xf>
    <xf numFmtId="0" fontId="7" fillId="0" borderId="15" xfId="45" applyFont="1" applyBorder="1">
      <alignment/>
      <protection/>
    </xf>
    <xf numFmtId="0" fontId="7" fillId="0" borderId="16" xfId="45" applyFont="1" applyBorder="1" applyAlignment="1">
      <alignment horizontal="center"/>
      <protection/>
    </xf>
    <xf numFmtId="0" fontId="7" fillId="0" borderId="17" xfId="45" applyFont="1" applyBorder="1" applyAlignment="1">
      <alignment horizontal="center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7" fillId="0" borderId="18" xfId="45" applyFont="1" applyBorder="1" applyAlignment="1">
      <alignment horizontal="center"/>
      <protection/>
    </xf>
    <xf numFmtId="0" fontId="7" fillId="0" borderId="19" xfId="45" applyFont="1" applyBorder="1" applyAlignment="1">
      <alignment horizontal="center"/>
      <protection/>
    </xf>
    <xf numFmtId="0" fontId="7" fillId="0" borderId="19" xfId="45" applyFont="1" applyBorder="1">
      <alignment/>
      <protection/>
    </xf>
    <xf numFmtId="4" fontId="7" fillId="0" borderId="17" xfId="45" applyNumberFormat="1" applyFont="1" applyBorder="1">
      <alignment/>
      <protection/>
    </xf>
    <xf numFmtId="4" fontId="6" fillId="0" borderId="16" xfId="45" applyNumberFormat="1" applyFont="1" applyBorder="1">
      <alignment/>
      <protection/>
    </xf>
    <xf numFmtId="0" fontId="6" fillId="0" borderId="11" xfId="45" applyFont="1" applyBorder="1">
      <alignment/>
      <protection/>
    </xf>
    <xf numFmtId="43" fontId="7" fillId="0" borderId="0" xfId="38" applyFont="1" applyAlignment="1">
      <alignment/>
    </xf>
    <xf numFmtId="0" fontId="7" fillId="0" borderId="17" xfId="45" applyFont="1" applyBorder="1">
      <alignment/>
      <protection/>
    </xf>
    <xf numFmtId="4" fontId="7" fillId="0" borderId="11" xfId="45" applyNumberFormat="1" applyFont="1" applyBorder="1" applyAlignment="1">
      <alignment horizontal="right"/>
      <protection/>
    </xf>
    <xf numFmtId="4" fontId="7" fillId="0" borderId="11" xfId="45" applyNumberFormat="1" applyFont="1" applyBorder="1">
      <alignment/>
      <protection/>
    </xf>
    <xf numFmtId="4" fontId="7" fillId="0" borderId="11" xfId="45" applyNumberFormat="1" applyFont="1" applyBorder="1" applyAlignment="1">
      <alignment/>
      <protection/>
    </xf>
    <xf numFmtId="43" fontId="7" fillId="0" borderId="11" xfId="38" applyFont="1" applyBorder="1" applyAlignment="1">
      <alignment horizontal="right"/>
    </xf>
    <xf numFmtId="4" fontId="7" fillId="0" borderId="11" xfId="45" applyNumberFormat="1" applyFont="1" applyBorder="1" applyAlignment="1">
      <alignment horizontal="center"/>
      <protection/>
    </xf>
    <xf numFmtId="4" fontId="7" fillId="0" borderId="20" xfId="45" applyNumberFormat="1" applyFont="1" applyBorder="1" applyAlignment="1">
      <alignment horizontal="center"/>
      <protection/>
    </xf>
    <xf numFmtId="4" fontId="6" fillId="0" borderId="21" xfId="45" applyNumberFormat="1" applyFont="1" applyBorder="1" applyAlignment="1">
      <alignment horizontal="right"/>
      <protection/>
    </xf>
    <xf numFmtId="4" fontId="6" fillId="0" borderId="22" xfId="45" applyNumberFormat="1" applyFont="1" applyBorder="1" applyAlignment="1">
      <alignment horizontal="right"/>
      <protection/>
    </xf>
    <xf numFmtId="4" fontId="6" fillId="0" borderId="11" xfId="45" applyNumberFormat="1" applyFont="1" applyBorder="1" applyAlignment="1">
      <alignment horizontal="right"/>
      <protection/>
    </xf>
    <xf numFmtId="49" fontId="6" fillId="0" borderId="11" xfId="45" applyNumberFormat="1" applyFont="1" applyBorder="1" applyAlignment="1">
      <alignment horizontal="center"/>
      <protection/>
    </xf>
    <xf numFmtId="4" fontId="6" fillId="0" borderId="20" xfId="45" applyNumberFormat="1" applyFont="1" applyBorder="1" applyAlignment="1">
      <alignment horizontal="right"/>
      <protection/>
    </xf>
    <xf numFmtId="4" fontId="6" fillId="0" borderId="0" xfId="45" applyNumberFormat="1" applyFont="1" applyBorder="1" applyAlignment="1">
      <alignment horizontal="right"/>
      <protection/>
    </xf>
    <xf numFmtId="4" fontId="7" fillId="0" borderId="20" xfId="45" applyNumberFormat="1" applyFont="1" applyBorder="1" applyAlignment="1">
      <alignment horizontal="right"/>
      <protection/>
    </xf>
    <xf numFmtId="4" fontId="7" fillId="0" borderId="0" xfId="45" applyNumberFormat="1" applyFont="1" applyBorder="1" applyAlignment="1">
      <alignment/>
      <protection/>
    </xf>
    <xf numFmtId="4" fontId="6" fillId="0" borderId="10" xfId="45" applyNumberFormat="1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4" fontId="7" fillId="0" borderId="20" xfId="45" applyNumberFormat="1" applyFont="1" applyBorder="1">
      <alignment/>
      <protection/>
    </xf>
    <xf numFmtId="4" fontId="6" fillId="0" borderId="21" xfId="45" applyNumberFormat="1" applyFont="1" applyBorder="1">
      <alignment/>
      <protection/>
    </xf>
    <xf numFmtId="4" fontId="7" fillId="0" borderId="0" xfId="45" applyNumberFormat="1" applyFont="1" applyBorder="1">
      <alignment/>
      <protection/>
    </xf>
    <xf numFmtId="4" fontId="6" fillId="0" borderId="0" xfId="45" applyNumberFormat="1" applyFont="1" applyBorder="1">
      <alignment/>
      <protection/>
    </xf>
    <xf numFmtId="0" fontId="4" fillId="0" borderId="14" xfId="45" applyFont="1" applyBorder="1">
      <alignment/>
      <protection/>
    </xf>
    <xf numFmtId="0" fontId="4" fillId="0" borderId="16" xfId="45" applyFont="1" applyBorder="1" applyAlignment="1">
      <alignment horizontal="center"/>
      <protection/>
    </xf>
    <xf numFmtId="0" fontId="4" fillId="0" borderId="17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0" fontId="4" fillId="0" borderId="19" xfId="45" applyFont="1" applyBorder="1" applyAlignment="1">
      <alignment horizontal="center"/>
      <protection/>
    </xf>
    <xf numFmtId="0" fontId="4" fillId="0" borderId="13" xfId="45" applyFont="1" applyBorder="1">
      <alignment/>
      <protection/>
    </xf>
    <xf numFmtId="0" fontId="4" fillId="0" borderId="18" xfId="45" applyFont="1" applyBorder="1">
      <alignment/>
      <protection/>
    </xf>
    <xf numFmtId="0" fontId="3" fillId="0" borderId="0" xfId="45" applyFont="1" applyBorder="1">
      <alignment/>
      <protection/>
    </xf>
    <xf numFmtId="0" fontId="4" fillId="0" borderId="17" xfId="45" applyFont="1" applyBorder="1">
      <alignment/>
      <protection/>
    </xf>
    <xf numFmtId="49" fontId="7" fillId="0" borderId="17" xfId="45" applyNumberFormat="1" applyFont="1" applyBorder="1" applyAlignment="1">
      <alignment horizontal="center"/>
      <protection/>
    </xf>
    <xf numFmtId="4" fontId="7" fillId="0" borderId="0" xfId="45" applyNumberFormat="1" applyFont="1">
      <alignment/>
      <protection/>
    </xf>
    <xf numFmtId="4" fontId="7" fillId="0" borderId="17" xfId="45" applyNumberFormat="1" applyFont="1" applyBorder="1" applyAlignment="1">
      <alignment horizontal="right"/>
      <protection/>
    </xf>
    <xf numFmtId="49" fontId="6" fillId="0" borderId="17" xfId="45" applyNumberFormat="1" applyFont="1" applyBorder="1" applyAlignment="1">
      <alignment horizontal="center"/>
      <protection/>
    </xf>
    <xf numFmtId="4" fontId="7" fillId="0" borderId="0" xfId="45" applyNumberFormat="1" applyFont="1" applyBorder="1" applyAlignment="1">
      <alignment horizontal="center"/>
      <protection/>
    </xf>
    <xf numFmtId="4" fontId="7" fillId="0" borderId="0" xfId="45" applyNumberFormat="1" applyFont="1" applyBorder="1" applyAlignment="1">
      <alignment horizontal="right"/>
      <protection/>
    </xf>
    <xf numFmtId="4" fontId="7" fillId="0" borderId="13" xfId="45" applyNumberFormat="1" applyFont="1" applyBorder="1" applyAlignment="1">
      <alignment horizontal="center"/>
      <protection/>
    </xf>
    <xf numFmtId="4" fontId="7" fillId="0" borderId="13" xfId="45" applyNumberFormat="1" applyFont="1" applyBorder="1" applyAlignment="1">
      <alignment horizontal="right"/>
      <protection/>
    </xf>
    <xf numFmtId="49" fontId="7" fillId="0" borderId="13" xfId="45" applyNumberFormat="1" applyFont="1" applyBorder="1" applyAlignment="1">
      <alignment horizontal="center"/>
      <protection/>
    </xf>
    <xf numFmtId="0" fontId="4" fillId="0" borderId="23" xfId="45" applyFont="1" applyBorder="1" applyAlignment="1">
      <alignment horizontal="center"/>
      <protection/>
    </xf>
    <xf numFmtId="0" fontId="7" fillId="0" borderId="0" xfId="45" applyFont="1" applyFill="1" applyBorder="1">
      <alignment/>
      <protection/>
    </xf>
    <xf numFmtId="4" fontId="6" fillId="0" borderId="10" xfId="45" applyNumberFormat="1" applyFont="1" applyBorder="1" applyAlignment="1">
      <alignment horizontal="right"/>
      <protection/>
    </xf>
    <xf numFmtId="4" fontId="6" fillId="0" borderId="24" xfId="45" applyNumberFormat="1" applyFont="1" applyBorder="1">
      <alignment/>
      <protection/>
    </xf>
    <xf numFmtId="0" fontId="6" fillId="0" borderId="17" xfId="45" applyFont="1" applyBorder="1" applyAlignment="1">
      <alignment horizontal="center"/>
      <protection/>
    </xf>
    <xf numFmtId="0" fontId="7" fillId="0" borderId="11" xfId="45" applyFont="1" applyBorder="1" applyAlignment="1">
      <alignment/>
      <protection/>
    </xf>
    <xf numFmtId="4" fontId="7" fillId="0" borderId="11" xfId="45" applyNumberFormat="1" applyFont="1" applyBorder="1" applyAlignment="1">
      <alignment vertical="center"/>
      <protection/>
    </xf>
    <xf numFmtId="4" fontId="6" fillId="0" borderId="10" xfId="45" applyNumberFormat="1" applyFont="1" applyBorder="1" applyAlignment="1">
      <alignment vertical="center"/>
      <protection/>
    </xf>
    <xf numFmtId="0" fontId="6" fillId="0" borderId="17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vertical="center"/>
      <protection/>
    </xf>
    <xf numFmtId="0" fontId="7" fillId="33" borderId="0" xfId="45" applyFont="1" applyFill="1" applyAlignment="1">
      <alignment horizontal="center"/>
      <protection/>
    </xf>
    <xf numFmtId="43" fontId="7" fillId="33" borderId="0" xfId="45" applyNumberFormat="1" applyFont="1" applyFill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45" applyNumberFormat="1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7" fillId="0" borderId="25" xfId="45" applyFont="1" applyBorder="1" applyAlignment="1">
      <alignment horizontal="center"/>
      <protection/>
    </xf>
    <xf numFmtId="0" fontId="7" fillId="0" borderId="26" xfId="45" applyFont="1" applyBorder="1" applyAlignment="1">
      <alignment horizontal="center"/>
      <protection/>
    </xf>
    <xf numFmtId="0" fontId="4" fillId="0" borderId="25" xfId="45" applyFont="1" applyBorder="1" applyAlignment="1">
      <alignment horizontal="center"/>
      <protection/>
    </xf>
    <xf numFmtId="0" fontId="4" fillId="0" borderId="26" xfId="45" applyFont="1" applyBorder="1" applyAlignment="1">
      <alignment horizontal="center"/>
      <protection/>
    </xf>
    <xf numFmtId="0" fontId="4" fillId="0" borderId="27" xfId="45" applyFont="1" applyBorder="1" applyAlignment="1">
      <alignment horizontal="center"/>
      <protection/>
    </xf>
    <xf numFmtId="0" fontId="4" fillId="0" borderId="28" xfId="45" applyFont="1" applyBorder="1" applyAlignment="1">
      <alignment horizontal="center"/>
      <protection/>
    </xf>
    <xf numFmtId="49" fontId="7" fillId="0" borderId="0" xfId="45" applyNumberFormat="1" applyFont="1" applyBorder="1" applyAlignment="1">
      <alignment horizontal="center"/>
      <protection/>
    </xf>
    <xf numFmtId="43" fontId="43" fillId="0" borderId="0" xfId="45" applyNumberFormat="1" applyFont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3591;&#3634;&#3609;&#3610;&#3633;&#3597;&#3594;&#3637;\&#3611;&#3619;&#3632;&#3592;&#3635;&#3611;&#3637;&#3591;&#3610;&#3611;&#3619;&#3632;&#3617;&#3634;&#3603;%202556\&#3591;&#3610;&#3648;&#3604;&#3639;&#3629;&#3609;\&#3626;.&#3588;.56\&#3619;&#3634;&#3618;&#3591;&#3634;&#3609;&#3619;&#3633;&#3610;%20-%20&#3592;&#3656;&#3634;&#3618;%20%20&#3648;&#3591;&#3636;&#3609;&#3626;&#3604;%20&#3626;.&#3588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งบทดลอง"/>
      <sheetName val="รับจ่ายเงินสด"/>
      <sheetName val="รายงานกระแสเงินสด"/>
      <sheetName val=" รับจริงประกอบงบ"/>
      <sheetName val=" รายละเอียดประกอบงบ"/>
      <sheetName val="Sheet1"/>
    </sheetNames>
    <sheetDataSet>
      <sheetData sheetId="3">
        <row r="14">
          <cell r="E14">
            <v>5715460.86</v>
          </cell>
        </row>
        <row r="18">
          <cell r="E18">
            <v>11300</v>
          </cell>
        </row>
        <row r="24">
          <cell r="E24">
            <v>1242359</v>
          </cell>
        </row>
        <row r="31">
          <cell r="E31">
            <v>82782</v>
          </cell>
        </row>
        <row r="50">
          <cell r="E50">
            <v>27814829.64</v>
          </cell>
        </row>
        <row r="56">
          <cell r="E56">
            <v>2071900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103" t="s">
        <v>0</v>
      </c>
      <c r="B1" s="103"/>
      <c r="C1" s="103"/>
      <c r="D1" s="103"/>
    </row>
    <row r="2" spans="1:4" ht="22.5" customHeight="1">
      <c r="A2" s="103" t="s">
        <v>6</v>
      </c>
      <c r="B2" s="103"/>
      <c r="C2" s="103"/>
      <c r="D2" s="103"/>
    </row>
    <row r="3" spans="1:4" ht="22.5" customHeight="1">
      <c r="A3" s="103" t="s">
        <v>7</v>
      </c>
      <c r="B3" s="103"/>
      <c r="C3" s="103"/>
      <c r="D3" s="103"/>
    </row>
    <row r="4" spans="1:4" ht="22.5" customHeight="1">
      <c r="A4" s="2"/>
      <c r="B4" s="2"/>
      <c r="C4" s="2"/>
      <c r="D4" s="2"/>
    </row>
    <row r="5" spans="1:4" ht="22.5" customHeight="1">
      <c r="A5" s="3" t="s">
        <v>1</v>
      </c>
      <c r="B5" s="3" t="s">
        <v>8</v>
      </c>
      <c r="C5" s="3" t="s">
        <v>9</v>
      </c>
      <c r="D5" s="3" t="s">
        <v>10</v>
      </c>
    </row>
    <row r="6" spans="1:4" ht="22.5" customHeight="1">
      <c r="A6" s="4" t="s">
        <v>11</v>
      </c>
      <c r="B6" s="5" t="s">
        <v>12</v>
      </c>
      <c r="C6" s="6">
        <v>0</v>
      </c>
      <c r="D6" s="7"/>
    </row>
    <row r="7" spans="1:4" ht="22.5" customHeight="1">
      <c r="A7" s="8" t="s">
        <v>13</v>
      </c>
      <c r="B7" s="9" t="s">
        <v>14</v>
      </c>
      <c r="C7" s="10">
        <v>40009.74</v>
      </c>
      <c r="D7" s="11"/>
    </row>
    <row r="8" spans="1:4" ht="22.5" customHeight="1">
      <c r="A8" s="8" t="s">
        <v>15</v>
      </c>
      <c r="B8" s="9" t="s">
        <v>16</v>
      </c>
      <c r="C8" s="12">
        <f>579514.55+16002463.44</f>
        <v>16581977.99</v>
      </c>
      <c r="D8" s="11"/>
    </row>
    <row r="9" spans="1:4" ht="22.5" customHeight="1">
      <c r="A9" s="8" t="s">
        <v>17</v>
      </c>
      <c r="B9" s="9" t="s">
        <v>18</v>
      </c>
      <c r="C9" s="10">
        <f>49918194.52</f>
        <v>49918194.52</v>
      </c>
      <c r="D9" s="11"/>
    </row>
    <row r="10" spans="1:4" ht="22.5" customHeight="1">
      <c r="A10" s="8" t="s">
        <v>19</v>
      </c>
      <c r="B10" s="9" t="s">
        <v>20</v>
      </c>
      <c r="C10" s="10">
        <f>143411840.6+18941644.93+545935805.27+67750712.53+236335435.51+106371785.98</f>
        <v>1118747224.82</v>
      </c>
      <c r="D10" s="8"/>
    </row>
    <row r="11" spans="1:4" ht="22.5" customHeight="1">
      <c r="A11" s="8" t="s">
        <v>21</v>
      </c>
      <c r="B11" s="9" t="s">
        <v>22</v>
      </c>
      <c r="C11" s="11">
        <v>12372157</v>
      </c>
      <c r="D11" s="11"/>
    </row>
    <row r="12" spans="1:4" ht="22.5" customHeight="1">
      <c r="A12" s="8" t="s">
        <v>23</v>
      </c>
      <c r="B12" s="9" t="s">
        <v>24</v>
      </c>
      <c r="C12" s="11">
        <v>79041232.21</v>
      </c>
      <c r="D12" s="11"/>
    </row>
    <row r="13" spans="1:4" ht="22.5" customHeight="1">
      <c r="A13" s="8" t="s">
        <v>25</v>
      </c>
      <c r="B13" s="9" t="s">
        <v>26</v>
      </c>
      <c r="C13" s="11">
        <v>15021</v>
      </c>
      <c r="D13" s="11"/>
    </row>
    <row r="14" spans="1:4" ht="22.5" customHeight="1">
      <c r="A14" s="8" t="s">
        <v>27</v>
      </c>
      <c r="B14" s="9" t="s">
        <v>28</v>
      </c>
      <c r="C14" s="11">
        <f>6911226.5+743798</f>
        <v>7655024.5</v>
      </c>
      <c r="D14" s="11"/>
    </row>
    <row r="15" spans="1:4" ht="22.5" customHeight="1">
      <c r="A15" s="8" t="s">
        <v>29</v>
      </c>
      <c r="B15" s="9" t="s">
        <v>30</v>
      </c>
      <c r="C15" s="11">
        <f>26564329.18+23996901.74</f>
        <v>50561230.92</v>
      </c>
      <c r="D15" s="11"/>
    </row>
    <row r="16" spans="1:4" ht="22.5" customHeight="1">
      <c r="A16" s="8" t="s">
        <v>31</v>
      </c>
      <c r="B16" s="9" t="s">
        <v>32</v>
      </c>
      <c r="C16" s="11">
        <f>3377380.29+296818.1</f>
        <v>3674198.39</v>
      </c>
      <c r="D16" s="11"/>
    </row>
    <row r="17" spans="1:4" ht="22.5" customHeight="1">
      <c r="A17" s="8" t="s">
        <v>33</v>
      </c>
      <c r="B17" s="9" t="s">
        <v>34</v>
      </c>
      <c r="C17" s="11">
        <f>16100299.83+754310.97</f>
        <v>16854610.8</v>
      </c>
      <c r="D17" s="11"/>
    </row>
    <row r="18" spans="1:4" ht="22.5" customHeight="1">
      <c r="A18" s="8" t="s">
        <v>35</v>
      </c>
      <c r="B18" s="9" t="s">
        <v>36</v>
      </c>
      <c r="C18" s="10">
        <f>3554488.25</f>
        <v>3554488.25</v>
      </c>
      <c r="D18" s="11"/>
    </row>
    <row r="19" spans="1:6" ht="22.5" customHeight="1">
      <c r="A19" s="8" t="s">
        <v>37</v>
      </c>
      <c r="B19" s="9" t="s">
        <v>38</v>
      </c>
      <c r="C19" s="13">
        <f>27988852.84+4893200</f>
        <v>32882052.84</v>
      </c>
      <c r="D19" s="11"/>
      <c r="F19" s="98"/>
    </row>
    <row r="20" spans="1:6" ht="22.5" customHeight="1">
      <c r="A20" s="8" t="s">
        <v>39</v>
      </c>
      <c r="B20" s="9" t="s">
        <v>40</v>
      </c>
      <c r="C20" s="15">
        <f>7967703+2256633.02</f>
        <v>10224336.02</v>
      </c>
      <c r="D20" s="11"/>
      <c r="F20" s="99"/>
    </row>
    <row r="21" spans="1:4" ht="22.5" customHeight="1">
      <c r="A21" s="8" t="s">
        <v>41</v>
      </c>
      <c r="B21" s="9" t="s">
        <v>42</v>
      </c>
      <c r="C21" s="10">
        <f>5813274.8+130000</f>
        <v>5943274.8</v>
      </c>
      <c r="D21" s="11"/>
    </row>
    <row r="22" spans="1:4" ht="22.5" customHeight="1">
      <c r="A22" s="8" t="s">
        <v>43</v>
      </c>
      <c r="B22" s="9" t="s">
        <v>44</v>
      </c>
      <c r="C22" s="10">
        <f>41694980+34657545</f>
        <v>76352525</v>
      </c>
      <c r="D22" s="11"/>
    </row>
    <row r="23" spans="1:4" ht="22.5" customHeight="1">
      <c r="A23" s="8" t="s">
        <v>45</v>
      </c>
      <c r="B23" s="9" t="s">
        <v>46</v>
      </c>
      <c r="C23" s="10">
        <f>2875704.29</f>
        <v>2875704.29</v>
      </c>
      <c r="D23" s="11"/>
    </row>
    <row r="24" spans="1:4" ht="22.5" customHeight="1">
      <c r="A24" s="8" t="s">
        <v>47</v>
      </c>
      <c r="B24" s="9" t="s">
        <v>48</v>
      </c>
      <c r="C24" s="10">
        <f>9022950+146893.75</f>
        <v>9169843.75</v>
      </c>
      <c r="D24" s="11"/>
    </row>
    <row r="25" spans="1:4" ht="22.5" customHeight="1">
      <c r="A25" s="8" t="s">
        <v>49</v>
      </c>
      <c r="B25" s="9" t="s">
        <v>50</v>
      </c>
      <c r="C25" s="10">
        <f>100000</f>
        <v>100000</v>
      </c>
      <c r="D25" s="11"/>
    </row>
    <row r="26" spans="1:4" ht="22.5" customHeight="1">
      <c r="A26" s="8" t="s">
        <v>51</v>
      </c>
      <c r="B26" s="9" t="s">
        <v>52</v>
      </c>
      <c r="C26" s="11"/>
      <c r="D26" s="11">
        <v>808005052.06</v>
      </c>
    </row>
    <row r="27" spans="1:4" ht="22.5" customHeight="1">
      <c r="A27" s="8" t="s">
        <v>53</v>
      </c>
      <c r="B27" s="9" t="s">
        <v>54</v>
      </c>
      <c r="C27" s="11"/>
      <c r="D27" s="11">
        <v>2764611.41</v>
      </c>
    </row>
    <row r="28" spans="1:4" ht="22.5" customHeight="1">
      <c r="A28" s="8" t="s">
        <v>55</v>
      </c>
      <c r="B28" s="9" t="s">
        <v>56</v>
      </c>
      <c r="C28" s="11"/>
      <c r="D28" s="11">
        <v>87918693.18</v>
      </c>
    </row>
    <row r="29" spans="1:4" ht="22.5" customHeight="1">
      <c r="A29" s="8" t="s">
        <v>57</v>
      </c>
      <c r="B29" s="9" t="s">
        <v>58</v>
      </c>
      <c r="C29" s="11"/>
      <c r="D29" s="10">
        <v>7426835</v>
      </c>
    </row>
    <row r="30" spans="1:4" ht="22.5" customHeight="1">
      <c r="A30" s="8" t="s">
        <v>59</v>
      </c>
      <c r="B30" s="9"/>
      <c r="C30" s="11"/>
      <c r="D30" s="10">
        <v>14000000</v>
      </c>
    </row>
    <row r="31" spans="1:4" ht="22.5" customHeight="1">
      <c r="A31" s="8" t="s">
        <v>60</v>
      </c>
      <c r="B31" s="9" t="s">
        <v>61</v>
      </c>
      <c r="C31" s="11"/>
      <c r="D31" s="10">
        <f>40009.74</f>
        <v>40009.74</v>
      </c>
    </row>
    <row r="32" spans="1:4" ht="22.5" customHeight="1">
      <c r="A32" s="8" t="s">
        <v>62</v>
      </c>
      <c r="B32" s="9" t="s">
        <v>63</v>
      </c>
      <c r="C32" s="11"/>
      <c r="D32" s="11">
        <v>379364244.07</v>
      </c>
    </row>
    <row r="33" spans="1:4" ht="22.5" customHeight="1">
      <c r="A33" s="8" t="s">
        <v>64</v>
      </c>
      <c r="B33" s="9"/>
      <c r="C33" s="11"/>
      <c r="D33" s="11">
        <v>197043661.38</v>
      </c>
    </row>
    <row r="34" spans="1:4" ht="22.5" customHeight="1">
      <c r="A34" s="8"/>
      <c r="B34" s="9"/>
      <c r="C34" s="11"/>
      <c r="D34" s="11"/>
    </row>
    <row r="35" spans="1:4" ht="22.5" customHeight="1">
      <c r="A35" s="8"/>
      <c r="B35" s="16"/>
      <c r="C35" s="17">
        <f>SUM(C6:C25)</f>
        <v>1496563106.84</v>
      </c>
      <c r="D35" s="17">
        <f>SUM(D26:D33)</f>
        <v>1496563106.8399997</v>
      </c>
    </row>
    <row r="36" ht="21">
      <c r="F36" s="111">
        <f>C35-D35</f>
        <v>0</v>
      </c>
    </row>
    <row r="38" spans="1:4" ht="21">
      <c r="A38" s="18"/>
      <c r="B38" s="18"/>
      <c r="C38" s="18"/>
      <c r="D38" s="18"/>
    </row>
    <row r="39" spans="1:4" ht="21">
      <c r="A39" s="102"/>
      <c r="B39" s="102"/>
      <c r="C39" s="102"/>
      <c r="D39" s="102"/>
    </row>
    <row r="40" spans="1:4" ht="21">
      <c r="A40" s="102"/>
      <c r="B40" s="102"/>
      <c r="C40" s="102"/>
      <c r="D40" s="102"/>
    </row>
    <row r="41" spans="1:4" ht="21">
      <c r="A41" s="102"/>
      <c r="B41" s="102"/>
      <c r="C41" s="102"/>
      <c r="D41" s="102"/>
    </row>
    <row r="42" spans="1:4" ht="21">
      <c r="A42" s="19"/>
      <c r="B42" s="19"/>
      <c r="C42" s="19"/>
      <c r="D42" s="19"/>
    </row>
    <row r="43" spans="1:4" ht="21">
      <c r="A43" s="20"/>
      <c r="B43" s="20"/>
      <c r="C43" s="20"/>
      <c r="D43" s="20"/>
    </row>
    <row r="44" spans="1:4" ht="21">
      <c r="A44" s="21"/>
      <c r="B44" s="22"/>
      <c r="C44" s="23"/>
      <c r="D44" s="24"/>
    </row>
    <row r="45" spans="1:4" ht="21">
      <c r="A45" s="21"/>
      <c r="B45" s="22"/>
      <c r="C45" s="25"/>
      <c r="D45" s="24"/>
    </row>
    <row r="46" spans="1:4" ht="21">
      <c r="A46" s="18"/>
      <c r="B46" s="26"/>
      <c r="C46" s="13"/>
      <c r="D46" s="27"/>
    </row>
    <row r="47" spans="1:4" ht="21">
      <c r="A47" s="18"/>
      <c r="B47" s="26"/>
      <c r="C47" s="28"/>
      <c r="D47" s="27"/>
    </row>
    <row r="48" spans="1:4" ht="21">
      <c r="A48" s="18"/>
      <c r="B48" s="26"/>
      <c r="C48" s="13"/>
      <c r="D48" s="27"/>
    </row>
    <row r="49" spans="1:4" ht="21">
      <c r="A49" s="18"/>
      <c r="B49" s="26"/>
      <c r="C49" s="13"/>
      <c r="D49" s="18"/>
    </row>
    <row r="50" spans="1:4" ht="21">
      <c r="A50" s="18"/>
      <c r="B50" s="26"/>
      <c r="C50" s="27"/>
      <c r="D50" s="27"/>
    </row>
    <row r="51" spans="1:4" ht="21">
      <c r="A51" s="18"/>
      <c r="B51" s="26"/>
      <c r="C51" s="27"/>
      <c r="D51" s="27"/>
    </row>
    <row r="52" spans="1:4" ht="21">
      <c r="A52" s="18"/>
      <c r="B52" s="26"/>
      <c r="C52" s="27"/>
      <c r="D52" s="27"/>
    </row>
    <row r="53" spans="1:4" ht="21">
      <c r="A53" s="18"/>
      <c r="B53" s="26"/>
      <c r="C53" s="27"/>
      <c r="D53" s="13"/>
    </row>
    <row r="54" spans="1:4" ht="21">
      <c r="A54" s="18"/>
      <c r="B54" s="26"/>
      <c r="C54" s="27"/>
      <c r="D54" s="13"/>
    </row>
    <row r="55" spans="1:4" ht="21">
      <c r="A55" s="18"/>
      <c r="B55" s="26"/>
      <c r="C55" s="27"/>
      <c r="D55" s="13"/>
    </row>
    <row r="56" spans="1:4" ht="21">
      <c r="A56" s="18"/>
      <c r="B56" s="26"/>
      <c r="C56" s="27"/>
      <c r="D56" s="13"/>
    </row>
    <row r="57" spans="1:4" ht="21">
      <c r="A57" s="18"/>
      <c r="B57" s="26"/>
      <c r="C57" s="27"/>
      <c r="D57" s="13"/>
    </row>
    <row r="58" spans="1:4" ht="21">
      <c r="A58" s="18"/>
      <c r="B58" s="26"/>
      <c r="C58" s="27"/>
      <c r="D58" s="27"/>
    </row>
    <row r="59" spans="1:4" ht="21">
      <c r="A59" s="18"/>
      <c r="B59" s="26"/>
      <c r="C59" s="27"/>
      <c r="D59" s="27"/>
    </row>
    <row r="60" spans="1:4" ht="21">
      <c r="A60" s="18"/>
      <c r="B60" s="26"/>
      <c r="C60" s="27"/>
      <c r="D60" s="27"/>
    </row>
    <row r="61" spans="1:4" ht="21">
      <c r="A61" s="18"/>
      <c r="B61" s="18"/>
      <c r="C61" s="29"/>
      <c r="D61" s="29"/>
    </row>
    <row r="62" spans="1:4" ht="21">
      <c r="A62" s="18"/>
      <c r="B62" s="18"/>
      <c r="C62" s="18"/>
      <c r="D62" s="18"/>
    </row>
    <row r="63" spans="1:4" ht="21">
      <c r="A63" s="18"/>
      <c r="B63" s="18"/>
      <c r="C63" s="18"/>
      <c r="D63" s="18"/>
    </row>
    <row r="64" spans="1:4" ht="21">
      <c r="A64" s="18"/>
      <c r="B64" s="18"/>
      <c r="C64" s="18"/>
      <c r="D64" s="18"/>
    </row>
    <row r="65" spans="1:4" ht="21">
      <c r="A65" s="18"/>
      <c r="B65" s="18"/>
      <c r="C65" s="18"/>
      <c r="D65" s="18"/>
    </row>
    <row r="66" spans="1:4" ht="21">
      <c r="A66" s="18"/>
      <c r="B66" s="18"/>
      <c r="C66" s="18"/>
      <c r="D66" s="18"/>
    </row>
    <row r="67" spans="1:4" ht="21">
      <c r="A67" s="18"/>
      <c r="B67" s="18"/>
      <c r="C67" s="18"/>
      <c r="D67" s="18"/>
    </row>
    <row r="68" spans="1:4" ht="21">
      <c r="A68" s="18"/>
      <c r="B68" s="18"/>
      <c r="C68" s="18"/>
      <c r="D68" s="18"/>
    </row>
    <row r="69" spans="1:4" ht="21">
      <c r="A69" s="18"/>
      <c r="B69" s="18"/>
      <c r="C69" s="18"/>
      <c r="D69" s="18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47" bottom="0" header="0.5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6.140625" style="1" customWidth="1"/>
    <col min="7" max="7" width="17.140625" style="18" customWidth="1"/>
    <col min="8" max="8" width="18.28125" style="18" customWidth="1"/>
    <col min="9" max="9" width="17.8515625" style="18" customWidth="1"/>
    <col min="10" max="10" width="18.8515625" style="18" customWidth="1"/>
    <col min="11" max="16384" width="9.140625" style="1" customWidth="1"/>
  </cols>
  <sheetData>
    <row r="2" spans="1:5" ht="21">
      <c r="A2" s="1" t="s">
        <v>65</v>
      </c>
      <c r="D2" s="1" t="s">
        <v>66</v>
      </c>
      <c r="E2" s="30" t="s">
        <v>67</v>
      </c>
    </row>
    <row r="3" spans="1:5" ht="21">
      <c r="A3" s="103" t="s">
        <v>68</v>
      </c>
      <c r="B3" s="103"/>
      <c r="C3" s="103"/>
      <c r="D3" s="103"/>
      <c r="E3" s="103"/>
    </row>
    <row r="4" ht="21">
      <c r="D4" s="31" t="s">
        <v>69</v>
      </c>
    </row>
    <row r="5" spans="1:5" ht="21.75" thickBot="1">
      <c r="A5" s="32"/>
      <c r="B5" s="32"/>
      <c r="C5" s="32" t="s">
        <v>70</v>
      </c>
      <c r="D5" s="32" t="s">
        <v>70</v>
      </c>
      <c r="E5" s="32" t="s">
        <v>70</v>
      </c>
    </row>
    <row r="6" spans="1:5" ht="21.75" thickTop="1">
      <c r="A6" s="104" t="s">
        <v>71</v>
      </c>
      <c r="B6" s="105"/>
      <c r="C6" s="33"/>
      <c r="D6" s="34"/>
      <c r="E6" s="35" t="s">
        <v>72</v>
      </c>
    </row>
    <row r="7" spans="1:5" ht="21">
      <c r="A7" s="36" t="s">
        <v>2</v>
      </c>
      <c r="B7" s="37" t="s">
        <v>73</v>
      </c>
      <c r="C7" s="14" t="s">
        <v>1</v>
      </c>
      <c r="D7" s="38" t="s">
        <v>8</v>
      </c>
      <c r="E7" s="38" t="s">
        <v>74</v>
      </c>
    </row>
    <row r="8" spans="1:5" ht="21.75" thickBot="1">
      <c r="A8" s="39" t="s">
        <v>75</v>
      </c>
      <c r="B8" s="40" t="s">
        <v>75</v>
      </c>
      <c r="C8" s="32"/>
      <c r="D8" s="41"/>
      <c r="E8" s="40" t="s">
        <v>75</v>
      </c>
    </row>
    <row r="9" spans="1:8" ht="29.25" customHeight="1" thickTop="1">
      <c r="A9" s="42" t="s">
        <v>70</v>
      </c>
      <c r="B9" s="43">
        <v>818397314.47</v>
      </c>
      <c r="C9" s="2" t="s">
        <v>76</v>
      </c>
      <c r="D9" s="44"/>
      <c r="E9" s="43">
        <v>1174009837.35</v>
      </c>
      <c r="H9" s="27"/>
    </row>
    <row r="10" spans="1:5" ht="21">
      <c r="A10" s="46"/>
      <c r="B10" s="8"/>
      <c r="C10" s="1" t="s">
        <v>77</v>
      </c>
      <c r="D10" s="8"/>
      <c r="E10" s="8"/>
    </row>
    <row r="11" spans="1:5" ht="21">
      <c r="A11" s="47">
        <v>55300000</v>
      </c>
      <c r="B11" s="48">
        <f>4188337.14+4684881.68+4407674.11+5741763.25+4734833.48+4725240.5+4986107.86+5418860.55+4620347.6+4874228.46+5715460.86</f>
        <v>54097735.49</v>
      </c>
      <c r="C11" s="1" t="s">
        <v>78</v>
      </c>
      <c r="D11" s="9" t="s">
        <v>79</v>
      </c>
      <c r="E11" s="48">
        <f>+'[1] รับจริงประกอบงบ'!E14</f>
        <v>5715460.86</v>
      </c>
    </row>
    <row r="12" spans="1:5" ht="21">
      <c r="A12" s="47">
        <v>1000000</v>
      </c>
      <c r="B12" s="49">
        <f>70113+1352744+13230+2023016+85789+1200+1328+5654+5225+11300</f>
        <v>3569599</v>
      </c>
      <c r="C12" s="1" t="s">
        <v>80</v>
      </c>
      <c r="D12" s="9" t="s">
        <v>81</v>
      </c>
      <c r="E12" s="49">
        <f>+'[1] รับจริงประกอบงบ'!E18</f>
        <v>11300</v>
      </c>
    </row>
    <row r="13" spans="1:5" ht="21">
      <c r="A13" s="47">
        <v>10010000</v>
      </c>
      <c r="B13" s="47">
        <f>3150190.19+2532577.46+906689.78+1970853.43+1542033.24+1180444.24+6384789.26+1426761.22+1202071.47+4464432.37+1242359</f>
        <v>26003201.66</v>
      </c>
      <c r="C13" s="1" t="s">
        <v>82</v>
      </c>
      <c r="D13" s="9" t="s">
        <v>83</v>
      </c>
      <c r="E13" s="47">
        <f>+'[1] รับจริงประกอบงบ'!E24</f>
        <v>1242359</v>
      </c>
    </row>
    <row r="14" spans="1:5" ht="21">
      <c r="A14" s="47">
        <v>1201000</v>
      </c>
      <c r="B14" s="48">
        <f>25739+23177+35260+33920+25435+47180+580775+919429+50136+74283+82782</f>
        <v>1898116</v>
      </c>
      <c r="C14" s="1" t="s">
        <v>84</v>
      </c>
      <c r="D14" s="9" t="s">
        <v>85</v>
      </c>
      <c r="E14" s="50">
        <f>+'[1] รับจริงประกอบงบ'!E31</f>
        <v>82782</v>
      </c>
    </row>
    <row r="15" spans="1:5" ht="21">
      <c r="A15" s="47">
        <v>50000</v>
      </c>
      <c r="B15" s="51" t="s">
        <v>3</v>
      </c>
      <c r="C15" s="1" t="s">
        <v>86</v>
      </c>
      <c r="D15" s="9" t="s">
        <v>87</v>
      </c>
      <c r="E15" s="51" t="s">
        <v>3</v>
      </c>
    </row>
    <row r="16" spans="1:5" ht="21">
      <c r="A16" s="47">
        <v>432439000</v>
      </c>
      <c r="B16" s="47">
        <f>52479326.27+22871353.48+379313237.98+25253689.74+17189729.01+27092315.31+17169699.27-59320028.93+29614628.22+29368123.92+27814829.64</f>
        <v>568846903.91</v>
      </c>
      <c r="C16" s="1" t="s">
        <v>88</v>
      </c>
      <c r="D16" s="9" t="s">
        <v>89</v>
      </c>
      <c r="E16" s="47">
        <f>+'[1] รับจริงประกอบงบ'!E50</f>
        <v>27814829.64</v>
      </c>
    </row>
    <row r="17" spans="1:5" ht="21">
      <c r="A17" s="47">
        <v>100000000</v>
      </c>
      <c r="B17" s="49">
        <f>35475517+81384534+2071900</f>
        <v>118931951</v>
      </c>
      <c r="C17" s="1" t="s">
        <v>90</v>
      </c>
      <c r="D17" s="9" t="s">
        <v>91</v>
      </c>
      <c r="E17" s="47">
        <f>+'[1] รับจริงประกอบงบ'!E56</f>
        <v>2071900</v>
      </c>
    </row>
    <row r="18" spans="1:5" ht="21">
      <c r="A18" s="47"/>
      <c r="B18" s="52"/>
      <c r="D18" s="9"/>
      <c r="E18" s="49"/>
    </row>
    <row r="19" spans="1:5" ht="21.75" thickBot="1">
      <c r="A19" s="53">
        <f>SUM(A11:A17)</f>
        <v>600000000</v>
      </c>
      <c r="B19" s="54">
        <f>SUM(B11:B17)</f>
        <v>773347507.06</v>
      </c>
      <c r="C19" s="55"/>
      <c r="D19" s="56" t="s">
        <v>70</v>
      </c>
      <c r="E19" s="53">
        <f>SUM(E11:E17)</f>
        <v>36938631.5</v>
      </c>
    </row>
    <row r="20" spans="1:5" ht="21.75" thickTop="1">
      <c r="A20" s="57"/>
      <c r="B20" s="57"/>
      <c r="C20" s="58"/>
      <c r="D20" s="56"/>
      <c r="E20" s="55"/>
    </row>
    <row r="21" spans="1:5" ht="21">
      <c r="A21" s="57"/>
      <c r="B21" s="59">
        <f>12672000+2223040+1323880+12672000+4312745+1453880</f>
        <v>34657545</v>
      </c>
      <c r="C21" s="60" t="s">
        <v>92</v>
      </c>
      <c r="D21" s="9" t="s">
        <v>93</v>
      </c>
      <c r="E21" s="51" t="s">
        <v>3</v>
      </c>
    </row>
    <row r="22" spans="1:5" ht="21">
      <c r="A22" s="57"/>
      <c r="B22" s="59">
        <v>403900</v>
      </c>
      <c r="C22" s="60" t="s">
        <v>94</v>
      </c>
      <c r="D22" s="9" t="s">
        <v>95</v>
      </c>
      <c r="E22" s="51" t="s">
        <v>3</v>
      </c>
    </row>
    <row r="23" spans="1:5" ht="21">
      <c r="A23" s="59"/>
      <c r="B23" s="47">
        <v>784.5</v>
      </c>
      <c r="C23" s="1" t="s">
        <v>96</v>
      </c>
      <c r="D23" s="9" t="s">
        <v>14</v>
      </c>
      <c r="E23" s="51" t="s">
        <v>3</v>
      </c>
    </row>
    <row r="24" spans="1:5" ht="21">
      <c r="A24" s="59"/>
      <c r="B24" s="47">
        <f>297550+15000+164360+345490+232750+959445+560145+1582430+584600+6651424+1036529</f>
        <v>12429723</v>
      </c>
      <c r="C24" s="1" t="s">
        <v>97</v>
      </c>
      <c r="D24" s="9" t="s">
        <v>22</v>
      </c>
      <c r="E24" s="47">
        <v>1036529</v>
      </c>
    </row>
    <row r="25" spans="1:5" ht="21">
      <c r="A25" s="52"/>
      <c r="B25" s="47">
        <f>5433.24+381046.99+5405.82+159808</f>
        <v>551694.05</v>
      </c>
      <c r="C25" s="1" t="s">
        <v>98</v>
      </c>
      <c r="D25" s="38">
        <v>700</v>
      </c>
      <c r="E25" s="51" t="s">
        <v>3</v>
      </c>
    </row>
    <row r="26" spans="1:5" ht="21">
      <c r="A26" s="52"/>
      <c r="B26" s="47">
        <f>488547.43+5166+15561+950707.06+20187+6771713.3+5166+64785+14921+5166</f>
        <v>8341919.79</v>
      </c>
      <c r="C26" s="1" t="s">
        <v>99</v>
      </c>
      <c r="D26" s="38">
        <v>704</v>
      </c>
      <c r="E26" s="49">
        <v>5166</v>
      </c>
    </row>
    <row r="27" spans="1:5" ht="21">
      <c r="A27" s="52"/>
      <c r="B27" s="47">
        <f>864329.92+1437064.24+1188467.64+1418353.77+1180455.12+744808.5+1395567.74+3283843.1+789563.94+900705.03+1173189.36</f>
        <v>14376348.36</v>
      </c>
      <c r="C27" s="1" t="s">
        <v>100</v>
      </c>
      <c r="D27" s="9" t="s">
        <v>54</v>
      </c>
      <c r="E27" s="47">
        <v>1173189.36</v>
      </c>
    </row>
    <row r="28" spans="1:5" ht="21">
      <c r="A28" s="52"/>
      <c r="B28" s="47">
        <v>3774.77</v>
      </c>
      <c r="C28" s="1" t="s">
        <v>101</v>
      </c>
      <c r="D28" s="9" t="s">
        <v>102</v>
      </c>
      <c r="E28" s="51" t="s">
        <v>3</v>
      </c>
    </row>
    <row r="29" spans="1:5" ht="21">
      <c r="A29" s="52"/>
      <c r="B29" s="47"/>
      <c r="D29" s="9"/>
      <c r="E29" s="49"/>
    </row>
    <row r="30" spans="1:5" ht="21">
      <c r="A30" s="52"/>
      <c r="B30" s="47"/>
      <c r="D30" s="9"/>
      <c r="E30" s="47"/>
    </row>
    <row r="31" spans="1:5" ht="27" customHeight="1">
      <c r="A31" s="52" t="s">
        <v>70</v>
      </c>
      <c r="B31" s="61">
        <f>SUM(B21:B30)</f>
        <v>70765689.46999998</v>
      </c>
      <c r="C31" s="31" t="s">
        <v>70</v>
      </c>
      <c r="D31" s="62" t="s">
        <v>70</v>
      </c>
      <c r="E31" s="61">
        <f>SUM(E21:E30)</f>
        <v>2214884.3600000003</v>
      </c>
    </row>
    <row r="32" spans="1:5" ht="27.75" customHeight="1" thickBot="1">
      <c r="A32" s="63" t="s">
        <v>70</v>
      </c>
      <c r="B32" s="64">
        <f>B19+B31</f>
        <v>844113196.53</v>
      </c>
      <c r="C32" s="19" t="s">
        <v>5</v>
      </c>
      <c r="D32" s="44"/>
      <c r="E32" s="64">
        <f>E19+E31</f>
        <v>39153515.86</v>
      </c>
    </row>
    <row r="33" spans="1:5" ht="21.75" customHeight="1" thickTop="1">
      <c r="A33" s="65"/>
      <c r="B33" s="66"/>
      <c r="C33" s="19"/>
      <c r="D33" s="18"/>
      <c r="E33" s="66"/>
    </row>
    <row r="34" spans="1:5" ht="21.75" customHeight="1">
      <c r="A34" s="65"/>
      <c r="B34" s="66"/>
      <c r="C34" s="19"/>
      <c r="D34" s="18"/>
      <c r="E34" s="66"/>
    </row>
    <row r="35" spans="1:5" ht="21.75" customHeight="1">
      <c r="A35" s="65"/>
      <c r="B35" s="66"/>
      <c r="C35" s="19"/>
      <c r="D35" s="18"/>
      <c r="E35" s="66"/>
    </row>
    <row r="36" spans="1:5" ht="21.75" customHeight="1">
      <c r="A36" s="65"/>
      <c r="B36" s="66"/>
      <c r="C36" s="19"/>
      <c r="D36" s="18"/>
      <c r="E36" s="66"/>
    </row>
    <row r="37" spans="1:5" ht="21.75" customHeight="1">
      <c r="A37" s="65"/>
      <c r="B37" s="66"/>
      <c r="C37" s="19"/>
      <c r="D37" s="18"/>
      <c r="E37" s="66"/>
    </row>
    <row r="38" spans="1:5" ht="21.75" customHeight="1">
      <c r="A38" s="65"/>
      <c r="B38" s="66"/>
      <c r="C38" s="19"/>
      <c r="D38" s="18"/>
      <c r="E38" s="66"/>
    </row>
    <row r="39" spans="1:5" ht="21.75" customHeight="1">
      <c r="A39" s="110" t="s">
        <v>103</v>
      </c>
      <c r="B39" s="110"/>
      <c r="C39" s="110"/>
      <c r="D39" s="110"/>
      <c r="E39" s="110"/>
    </row>
    <row r="40" spans="1:5" ht="18" customHeight="1" thickBot="1">
      <c r="A40" s="65"/>
      <c r="B40" s="66"/>
      <c r="C40" s="19"/>
      <c r="D40" s="18"/>
      <c r="E40" s="66"/>
    </row>
    <row r="41" spans="1:5" ht="23.25" customHeight="1" thickTop="1">
      <c r="A41" s="106" t="s">
        <v>71</v>
      </c>
      <c r="B41" s="107"/>
      <c r="C41" s="67"/>
      <c r="D41" s="67"/>
      <c r="E41" s="68" t="s">
        <v>72</v>
      </c>
    </row>
    <row r="42" spans="1:5" ht="18.75" customHeight="1">
      <c r="A42" s="69" t="s">
        <v>2</v>
      </c>
      <c r="B42" s="70" t="s">
        <v>73</v>
      </c>
      <c r="C42" s="71" t="s">
        <v>1</v>
      </c>
      <c r="D42" s="69" t="s">
        <v>8</v>
      </c>
      <c r="E42" s="72" t="s">
        <v>74</v>
      </c>
    </row>
    <row r="43" spans="1:5" ht="15.75" customHeight="1" thickBot="1">
      <c r="A43" s="73" t="s">
        <v>75</v>
      </c>
      <c r="B43" s="74" t="s">
        <v>75</v>
      </c>
      <c r="C43" s="75"/>
      <c r="D43" s="76"/>
      <c r="E43" s="74" t="s">
        <v>75</v>
      </c>
    </row>
    <row r="44" spans="1:10" ht="21.75" customHeight="1" thickTop="1">
      <c r="A44" s="69"/>
      <c r="B44" s="72"/>
      <c r="C44" s="77" t="s">
        <v>104</v>
      </c>
      <c r="D44" s="78"/>
      <c r="E44" s="72"/>
      <c r="H44" s="19"/>
      <c r="I44" s="100"/>
      <c r="J44" s="19"/>
    </row>
    <row r="45" spans="1:10" ht="21.75" customHeight="1">
      <c r="A45" s="47">
        <f>64244100-66500-1267600+800000</f>
        <v>63710000</v>
      </c>
      <c r="B45" s="49">
        <f>78624+164040+450095+1368666+1854968.5+430163+446163+777539+912563+428405</f>
        <v>6911226.5</v>
      </c>
      <c r="C45" s="1" t="s">
        <v>105</v>
      </c>
      <c r="D45" s="79" t="s">
        <v>106</v>
      </c>
      <c r="E45" s="49">
        <v>428405</v>
      </c>
      <c r="H45" s="65"/>
      <c r="I45" s="27"/>
      <c r="J45" s="101"/>
    </row>
    <row r="46" spans="1:10" ht="21.75" customHeight="1">
      <c r="A46" s="47">
        <f>51058140-1000</f>
        <v>51057140</v>
      </c>
      <c r="B46" s="48">
        <f>1768077.77+2866763.44+2377118+2399821.18+2444419.02+2420381.45+2347396.83+2563034.36+2450509.8+2438394.99+2488412.34</f>
        <v>26564329.180000003</v>
      </c>
      <c r="C46" s="1" t="s">
        <v>107</v>
      </c>
      <c r="D46" s="79" t="s">
        <v>108</v>
      </c>
      <c r="E46" s="48">
        <v>2488412.34</v>
      </c>
      <c r="H46" s="65"/>
      <c r="I46" s="27"/>
      <c r="J46" s="101"/>
    </row>
    <row r="47" spans="1:10" ht="21.75" customHeight="1">
      <c r="A47" s="47">
        <f>3974800+1000</f>
        <v>3975800</v>
      </c>
      <c r="B47" s="48">
        <f>314450+337588+326019+326019+309669+294070.29+286740+301086+293913+293913+293913</f>
        <v>3377380.29</v>
      </c>
      <c r="C47" s="1" t="s">
        <v>109</v>
      </c>
      <c r="D47" s="79" t="s">
        <v>110</v>
      </c>
      <c r="E47" s="48">
        <v>293913</v>
      </c>
      <c r="H47" s="65"/>
      <c r="I47" s="27"/>
      <c r="J47" s="101"/>
    </row>
    <row r="48" spans="1:10" ht="21.75" customHeight="1">
      <c r="A48" s="47">
        <f>4607600+2392700+1554400+785300+1779600+727600+6014700+3505600+6063300+2141300</f>
        <v>29572100</v>
      </c>
      <c r="B48" s="47">
        <f>971970+2024210+1499155+1475993.38+1422382.74+1436415+1395675+1425121.77+1424195+1416406.94+1608775</f>
        <v>16100299.83</v>
      </c>
      <c r="C48" s="1" t="s">
        <v>111</v>
      </c>
      <c r="D48" s="79" t="s">
        <v>112</v>
      </c>
      <c r="E48" s="47">
        <v>1608775</v>
      </c>
      <c r="H48" s="65"/>
      <c r="I48" s="27"/>
      <c r="J48" s="101"/>
    </row>
    <row r="49" spans="1:10" ht="21.75" customHeight="1">
      <c r="A49" s="47">
        <f>600000+100000+3390000+1000000+500000</f>
        <v>5590000</v>
      </c>
      <c r="B49" s="48">
        <f>125988.5+435424.5+426366.5+226424+182099+570341+280166+473672+312868.75+317946.5+203191.5</f>
        <v>3554488.25</v>
      </c>
      <c r="C49" s="1" t="s">
        <v>113</v>
      </c>
      <c r="D49" s="79" t="s">
        <v>114</v>
      </c>
      <c r="E49" s="48">
        <v>203191.5</v>
      </c>
      <c r="H49" s="65"/>
      <c r="I49" s="27"/>
      <c r="J49" s="101"/>
    </row>
    <row r="50" spans="1:10" ht="21.75" customHeight="1">
      <c r="A50" s="47">
        <f>16105000+1090000+1440000+6304300+3000000+894400+500000+80000+183600+1233200+1400000+1650000+2650000+2000000+8150000+23170000+1200000+4280000+1000000+3550000+5800000-3030000-139517+6761+132756</f>
        <v>82650500</v>
      </c>
      <c r="B50" s="49">
        <f>87528+355943.5+2152390.82+1831976.11+953041.2+1541045.95+3041064.1+3007136.97+10337388.92+4681337.27</f>
        <v>27988852.84</v>
      </c>
      <c r="C50" s="1" t="s">
        <v>115</v>
      </c>
      <c r="D50" s="79" t="s">
        <v>116</v>
      </c>
      <c r="E50" s="49">
        <v>4681337.27</v>
      </c>
      <c r="H50" s="65"/>
      <c r="I50" s="27"/>
      <c r="J50" s="101"/>
    </row>
    <row r="51" spans="1:10" ht="21.75" customHeight="1">
      <c r="A51" s="81">
        <f>180000+3445000+1665760+2400000+10750000+250000</f>
        <v>18690760</v>
      </c>
      <c r="B51" s="49">
        <f>186719.79+488429.44+124311.54+404173.13+777943.29+636316.21+701860.47+362589.27+3031617.09+390013.88+863728.89</f>
        <v>7967703</v>
      </c>
      <c r="C51" s="1" t="s">
        <v>117</v>
      </c>
      <c r="D51" s="79" t="s">
        <v>118</v>
      </c>
      <c r="E51" s="49">
        <v>863728.89</v>
      </c>
      <c r="H51" s="65"/>
      <c r="I51" s="27"/>
      <c r="J51" s="101"/>
    </row>
    <row r="52" spans="1:10" ht="21.75" customHeight="1">
      <c r="A52" s="81">
        <f>6260000+730000</f>
        <v>6990000</v>
      </c>
      <c r="B52" s="47">
        <f>373470.87+502846.17+422510.22+538361.01+469101.48+631482.03+615681.66+474888.88+644075.63+533767.47+607089.38</f>
        <v>5813274.8</v>
      </c>
      <c r="C52" s="1" t="s">
        <v>119</v>
      </c>
      <c r="D52" s="79" t="s">
        <v>120</v>
      </c>
      <c r="E52" s="49">
        <v>607089.38</v>
      </c>
      <c r="H52" s="65"/>
      <c r="I52" s="27"/>
      <c r="J52" s="101"/>
    </row>
    <row r="53" spans="1:10" ht="21.75" customHeight="1">
      <c r="A53" s="81">
        <v>43977160</v>
      </c>
      <c r="B53" s="49">
        <f>6317280+12107680+9338440+2757680+2707680+2007680+2477680+2007680+1973180</f>
        <v>41694980</v>
      </c>
      <c r="C53" s="1" t="s">
        <v>121</v>
      </c>
      <c r="D53" s="79" t="s">
        <v>122</v>
      </c>
      <c r="E53" s="49">
        <v>1973180</v>
      </c>
      <c r="H53" s="65"/>
      <c r="I53" s="27"/>
      <c r="J53" s="101"/>
    </row>
    <row r="54" spans="1:10" ht="21.75" customHeight="1">
      <c r="A54" s="81">
        <f>36441700-250000</f>
        <v>36191700</v>
      </c>
      <c r="B54" s="49">
        <f>5189.5+51381.4+156370.2+417780.19+369334+222379+271622+564481.1+817166.9</f>
        <v>2875704.29</v>
      </c>
      <c r="C54" s="1" t="s">
        <v>123</v>
      </c>
      <c r="D54" s="79" t="s">
        <v>124</v>
      </c>
      <c r="E54" s="49">
        <v>817166.9</v>
      </c>
      <c r="H54" s="65"/>
      <c r="I54" s="27"/>
      <c r="J54" s="101"/>
    </row>
    <row r="55" spans="1:10" ht="21.75" customHeight="1">
      <c r="A55" s="81">
        <f>155714840+1500000</f>
        <v>157214840</v>
      </c>
      <c r="B55" s="49">
        <f>500000+16200+14500+528170+5512280</f>
        <v>6571150</v>
      </c>
      <c r="C55" s="1" t="s">
        <v>125</v>
      </c>
      <c r="D55" s="79" t="s">
        <v>126</v>
      </c>
      <c r="E55" s="47">
        <v>5512280</v>
      </c>
      <c r="H55" s="65"/>
      <c r="I55" s="27"/>
      <c r="J55" s="101"/>
    </row>
    <row r="56" spans="1:10" ht="21.75" customHeight="1">
      <c r="A56" s="81">
        <f>30000+350000</f>
        <v>380000</v>
      </c>
      <c r="B56" s="49">
        <v>100000</v>
      </c>
      <c r="C56" s="1" t="s">
        <v>127</v>
      </c>
      <c r="D56" s="79" t="s">
        <v>128</v>
      </c>
      <c r="E56" s="51" t="s">
        <v>3</v>
      </c>
      <c r="H56" s="65"/>
      <c r="I56" s="27"/>
      <c r="J56" s="101"/>
    </row>
    <row r="57" spans="1:10" ht="21.75" customHeight="1">
      <c r="A57" s="81">
        <v>1338900</v>
      </c>
      <c r="B57" s="49">
        <f>1864+4136+67256+67256+68432.3+261592.4+69155.1+68224.1+67653+68229.1</f>
        <v>743797.9999999999</v>
      </c>
      <c r="C57" s="1" t="s">
        <v>105</v>
      </c>
      <c r="D57" s="79" t="s">
        <v>129</v>
      </c>
      <c r="E57" s="49">
        <v>68229.1</v>
      </c>
      <c r="H57" s="66"/>
      <c r="I57" s="27"/>
      <c r="J57" s="27"/>
    </row>
    <row r="58" spans="1:5" ht="21.75" customHeight="1">
      <c r="A58" s="81">
        <f>30738500+2217600+2931600+1727500+173500-35000+35000</f>
        <v>37788700</v>
      </c>
      <c r="B58" s="49">
        <f>2147435.07+2138287+2138139.67+8587521+2254648+2264775+2234670+2231426</f>
        <v>23996901.740000002</v>
      </c>
      <c r="C58" s="1" t="s">
        <v>107</v>
      </c>
      <c r="D58" s="79" t="s">
        <v>130</v>
      </c>
      <c r="E58" s="49">
        <v>2231426</v>
      </c>
    </row>
    <row r="59" spans="1:5" ht="21.75" customHeight="1">
      <c r="A59" s="81">
        <v>466200</v>
      </c>
      <c r="B59" s="49">
        <f>26140+26140+29278+107698+27184+26662+27054.1+26662</f>
        <v>296818.1</v>
      </c>
      <c r="C59" s="1" t="s">
        <v>109</v>
      </c>
      <c r="D59" s="79" t="s">
        <v>131</v>
      </c>
      <c r="E59" s="49">
        <v>26662</v>
      </c>
    </row>
    <row r="60" spans="1:8" ht="21.75" customHeight="1">
      <c r="A60" s="47">
        <f>308500+792000</f>
        <v>1100500</v>
      </c>
      <c r="B60" s="47">
        <f>33500+80500+57000+57000+70580+70580+111320+66637.42+63790+67513.55+75890</f>
        <v>754310.9700000001</v>
      </c>
      <c r="C60" s="1" t="s">
        <v>111</v>
      </c>
      <c r="D60" s="79" t="s">
        <v>132</v>
      </c>
      <c r="E60" s="49">
        <v>75890</v>
      </c>
      <c r="H60" s="65"/>
    </row>
    <row r="61" spans="1:10" ht="21" customHeight="1">
      <c r="A61" s="47">
        <f>7420800+28000+5000000+12000</f>
        <v>12460800</v>
      </c>
      <c r="B61" s="49">
        <f>1389024+1765218+943020+795938</f>
        <v>4893200</v>
      </c>
      <c r="C61" s="1" t="s">
        <v>115</v>
      </c>
      <c r="D61" s="79" t="s">
        <v>133</v>
      </c>
      <c r="E61" s="51" t="s">
        <v>3</v>
      </c>
      <c r="H61" s="65"/>
      <c r="J61" s="101"/>
    </row>
    <row r="62" spans="1:8" ht="21" customHeight="1">
      <c r="A62" s="47">
        <f>3425240+100000</f>
        <v>3525240</v>
      </c>
      <c r="B62" s="49">
        <f>312091.78+255347.82+312091.78+269533.81+827287.83+280280</f>
        <v>2256633.02</v>
      </c>
      <c r="C62" s="1" t="s">
        <v>117</v>
      </c>
      <c r="D62" s="79" t="s">
        <v>134</v>
      </c>
      <c r="E62" s="47">
        <v>280280</v>
      </c>
      <c r="H62" s="65"/>
    </row>
    <row r="63" spans="1:5" ht="21" customHeight="1">
      <c r="A63" s="47">
        <v>130000</v>
      </c>
      <c r="B63" s="49">
        <f>8268.99+14615.77+12558.75+9566.08+15233.29+20468.05+29717.78+19571.29</f>
        <v>130000</v>
      </c>
      <c r="C63" s="1" t="s">
        <v>119</v>
      </c>
      <c r="D63" s="79" t="s">
        <v>135</v>
      </c>
      <c r="E63" s="51" t="s">
        <v>3</v>
      </c>
    </row>
    <row r="64" spans="1:5" ht="21" customHeight="1">
      <c r="A64" s="47">
        <f>641660+41698000+850000</f>
        <v>43189660</v>
      </c>
      <c r="B64" s="49">
        <f>74000+72893.75+2451800</f>
        <v>2598693.75</v>
      </c>
      <c r="C64" s="1" t="s">
        <v>125</v>
      </c>
      <c r="D64" s="79" t="s">
        <v>136</v>
      </c>
      <c r="E64" s="47">
        <v>2451800</v>
      </c>
    </row>
    <row r="65" spans="1:5" ht="21" customHeight="1" thickBot="1">
      <c r="A65" s="53">
        <f>SUM(A45:A64)</f>
        <v>600000000</v>
      </c>
      <c r="B65" s="53">
        <f>SUM(B45:B64)</f>
        <v>185189744.56</v>
      </c>
      <c r="C65" s="31"/>
      <c r="D65" s="82"/>
      <c r="E65" s="53">
        <f>SUM(E45:E64)</f>
        <v>24611766.380000003</v>
      </c>
    </row>
    <row r="66" spans="1:5" ht="21" customHeight="1" thickTop="1">
      <c r="A66" s="57"/>
      <c r="B66" s="47">
        <f>12672000+2223040+1323880+16984745+1453880</f>
        <v>34657545</v>
      </c>
      <c r="C66" s="1" t="s">
        <v>121</v>
      </c>
      <c r="D66" s="79" t="s">
        <v>137</v>
      </c>
      <c r="E66" s="51" t="s">
        <v>3</v>
      </c>
    </row>
    <row r="67" spans="1:5" ht="21" customHeight="1">
      <c r="A67" s="52"/>
      <c r="B67" s="47">
        <f>15000+391450+285500+684300+885950+712400+579450+8682725+120000+1715350+2263120</f>
        <v>16335245</v>
      </c>
      <c r="C67" s="1" t="s">
        <v>97</v>
      </c>
      <c r="D67" s="79" t="s">
        <v>22</v>
      </c>
      <c r="E67" s="47">
        <v>2263120</v>
      </c>
    </row>
    <row r="68" spans="1:5" ht="21" customHeight="1">
      <c r="A68" s="52" t="s">
        <v>70</v>
      </c>
      <c r="B68" s="47">
        <f>30419058.85+20521562.57+33114019.95+9897382.4+45888580.82+7210586.07+26333380+17418.75</f>
        <v>173401989.41</v>
      </c>
      <c r="C68" s="1" t="s">
        <v>138</v>
      </c>
      <c r="D68" s="9" t="s">
        <v>56</v>
      </c>
      <c r="E68" s="51" t="s">
        <v>3</v>
      </c>
    </row>
    <row r="69" spans="1:7" ht="21" customHeight="1">
      <c r="A69" s="52"/>
      <c r="B69" s="59">
        <f>297550+15000+99250+628000</f>
        <v>1039800</v>
      </c>
      <c r="C69" s="1" t="s">
        <v>139</v>
      </c>
      <c r="D69" s="9" t="s">
        <v>58</v>
      </c>
      <c r="E69" s="51" t="s">
        <v>3</v>
      </c>
      <c r="G69" s="83"/>
    </row>
    <row r="70" spans="1:7" ht="21" customHeight="1">
      <c r="A70" s="52"/>
      <c r="B70" s="59">
        <v>403900</v>
      </c>
      <c r="C70" s="1" t="s">
        <v>140</v>
      </c>
      <c r="D70" s="9" t="s">
        <v>141</v>
      </c>
      <c r="E70" s="51" t="s">
        <v>3</v>
      </c>
      <c r="G70" s="83"/>
    </row>
    <row r="71" spans="1:5" ht="21" customHeight="1">
      <c r="A71" s="52"/>
      <c r="B71" s="59">
        <f>16506000+13108600+5100</f>
        <v>29619700</v>
      </c>
      <c r="C71" s="1" t="s">
        <v>98</v>
      </c>
      <c r="D71" s="9" t="s">
        <v>63</v>
      </c>
      <c r="E71" s="51" t="s">
        <v>3</v>
      </c>
    </row>
    <row r="72" spans="1:5" ht="21" customHeight="1">
      <c r="A72" s="52"/>
      <c r="B72" s="59">
        <v>12927560.76</v>
      </c>
      <c r="C72" s="1" t="s">
        <v>142</v>
      </c>
      <c r="D72" s="9" t="s">
        <v>24</v>
      </c>
      <c r="E72" s="51" t="s">
        <v>3</v>
      </c>
    </row>
    <row r="73" spans="1:5" ht="21" customHeight="1">
      <c r="A73" s="52"/>
      <c r="B73" s="59">
        <f>2958523.14+2690587.55+2577418.1+5166+15021+5166+5166+74540+5166+5166+15021</f>
        <v>8356940.789999999</v>
      </c>
      <c r="C73" s="46" t="s">
        <v>99</v>
      </c>
      <c r="D73" s="9" t="s">
        <v>26</v>
      </c>
      <c r="E73" s="49">
        <v>15021</v>
      </c>
    </row>
    <row r="74" spans="1:5" ht="21" customHeight="1">
      <c r="A74" s="52" t="s">
        <v>70</v>
      </c>
      <c r="B74" s="47">
        <f>383493.25+1947746.37+1183746.56+2425462.78+751137.77+1112935.53+1016772.75+1568834.74+2600109.69+1309840.94+1026048.5</f>
        <v>15326128.88</v>
      </c>
      <c r="C74" s="1" t="s">
        <v>100</v>
      </c>
      <c r="D74" s="79" t="s">
        <v>54</v>
      </c>
      <c r="E74" s="49">
        <v>1026048.5</v>
      </c>
    </row>
    <row r="75" spans="1:5" ht="21" customHeight="1">
      <c r="A75" s="83"/>
      <c r="B75" s="47"/>
      <c r="D75" s="79"/>
      <c r="E75" s="51"/>
    </row>
    <row r="76" spans="1:5" ht="21" customHeight="1">
      <c r="A76" s="83"/>
      <c r="B76" s="84"/>
      <c r="D76" s="26"/>
      <c r="E76" s="83"/>
    </row>
    <row r="77" spans="1:5" ht="21" customHeight="1">
      <c r="A77" s="110" t="s">
        <v>143</v>
      </c>
      <c r="B77" s="110"/>
      <c r="C77" s="110"/>
      <c r="D77" s="110"/>
      <c r="E77" s="110"/>
    </row>
    <row r="78" spans="1:5" ht="21" customHeight="1" thickBot="1">
      <c r="A78" s="85"/>
      <c r="B78" s="86"/>
      <c r="C78" s="32"/>
      <c r="D78" s="87"/>
      <c r="E78" s="85"/>
    </row>
    <row r="79" spans="1:5" ht="21" customHeight="1" thickTop="1">
      <c r="A79" s="108" t="s">
        <v>71</v>
      </c>
      <c r="B79" s="109"/>
      <c r="C79" s="78"/>
      <c r="D79" s="78"/>
      <c r="E79" s="88" t="s">
        <v>72</v>
      </c>
    </row>
    <row r="80" spans="1:5" ht="22.5" customHeight="1">
      <c r="A80" s="69" t="s">
        <v>2</v>
      </c>
      <c r="B80" s="70" t="s">
        <v>73</v>
      </c>
      <c r="C80" s="71" t="s">
        <v>1</v>
      </c>
      <c r="D80" s="69" t="s">
        <v>8</v>
      </c>
      <c r="E80" s="72" t="s">
        <v>74</v>
      </c>
    </row>
    <row r="81" spans="1:5" ht="19.5" customHeight="1" thickBot="1">
      <c r="A81" s="73" t="s">
        <v>75</v>
      </c>
      <c r="B81" s="74" t="s">
        <v>75</v>
      </c>
      <c r="C81" s="75"/>
      <c r="D81" s="76"/>
      <c r="E81" s="74" t="s">
        <v>75</v>
      </c>
    </row>
    <row r="82" spans="1:5" ht="21" customHeight="1" thickTop="1">
      <c r="A82" s="52"/>
      <c r="B82" s="47">
        <v>784.5</v>
      </c>
      <c r="C82" s="1" t="s">
        <v>144</v>
      </c>
      <c r="D82" s="79" t="s">
        <v>61</v>
      </c>
      <c r="E82" s="51" t="s">
        <v>3</v>
      </c>
    </row>
    <row r="83" spans="1:8" ht="21" customHeight="1">
      <c r="A83" s="52"/>
      <c r="B83" s="49">
        <v>3774.77</v>
      </c>
      <c r="C83" s="1" t="s">
        <v>101</v>
      </c>
      <c r="D83" s="9" t="s">
        <v>102</v>
      </c>
      <c r="E83" s="51" t="s">
        <v>3</v>
      </c>
      <c r="H83" s="65"/>
    </row>
    <row r="84" spans="1:5" ht="21.75" customHeight="1">
      <c r="A84" s="52"/>
      <c r="B84" s="61">
        <f>SUM(B66:B83)</f>
        <v>292073369.10999995</v>
      </c>
      <c r="C84" s="89"/>
      <c r="D84" s="9"/>
      <c r="E84" s="90">
        <f>SUM(E66:E83)</f>
        <v>3304189.5</v>
      </c>
    </row>
    <row r="85" spans="1:5" ht="19.5" customHeight="1">
      <c r="A85" s="63"/>
      <c r="B85" s="91">
        <f>B65+B84</f>
        <v>477263113.66999996</v>
      </c>
      <c r="C85" s="92" t="s">
        <v>4</v>
      </c>
      <c r="D85" s="93"/>
      <c r="E85" s="61">
        <f>E65+E84</f>
        <v>27915955.880000003</v>
      </c>
    </row>
    <row r="86" spans="1:5" ht="19.5" customHeight="1">
      <c r="A86" s="18"/>
      <c r="B86" s="94">
        <f>B32-B85</f>
        <v>366850082.86</v>
      </c>
      <c r="C86" s="36" t="s">
        <v>145</v>
      </c>
      <c r="D86" s="93"/>
      <c r="E86" s="94">
        <f>E32-E85</f>
        <v>11237559.979999997</v>
      </c>
    </row>
    <row r="87" spans="1:7" ht="20.25" customHeight="1">
      <c r="A87" s="18"/>
      <c r="B87" s="95">
        <f>B9+B32-B85</f>
        <v>1185247397.33</v>
      </c>
      <c r="C87" s="96" t="s">
        <v>146</v>
      </c>
      <c r="D87" s="97"/>
      <c r="E87" s="95">
        <f>E9+E32-E85</f>
        <v>1185247397.3299997</v>
      </c>
      <c r="G87" s="65"/>
    </row>
    <row r="92" ht="21">
      <c r="C92" s="80"/>
    </row>
    <row r="95" ht="21">
      <c r="E95" s="80"/>
    </row>
    <row r="96" spans="2:5" ht="21">
      <c r="B96" s="45"/>
      <c r="E96" s="80"/>
    </row>
    <row r="97" ht="21">
      <c r="E97" s="80"/>
    </row>
  </sheetData>
  <sheetProtection/>
  <mergeCells count="6">
    <mergeCell ref="A79:B79"/>
    <mergeCell ref="A3:E3"/>
    <mergeCell ref="A6:B6"/>
    <mergeCell ref="A39:E39"/>
    <mergeCell ref="A41:B41"/>
    <mergeCell ref="A77:E77"/>
  </mergeCells>
  <printOptions/>
  <pageMargins left="0.82" right="0.24" top="0.47" bottom="0.21" header="0.54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cp:lastPrinted>2013-09-16T04:45:58Z</cp:lastPrinted>
  <dcterms:created xsi:type="dcterms:W3CDTF">2013-09-16T04:40:50Z</dcterms:created>
  <dcterms:modified xsi:type="dcterms:W3CDTF">2014-05-02T08:15:38Z</dcterms:modified>
  <cp:category/>
  <cp:version/>
  <cp:contentType/>
  <cp:contentStatus/>
</cp:coreProperties>
</file>